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motore elettrico 1 asse" sheetId="1" r:id="rId1"/>
    <sheet name="grafici" sheetId="2" r:id="rId2"/>
    <sheet name="Foglio1" sheetId="3" r:id="rId3"/>
  </sheets>
  <definedNames>
    <definedName name="_xlnm.Print_Area" localSheetId="0">'motore elettrico 1 asse'!$A$1:$B$45</definedName>
  </definedNames>
  <calcPr fullCalcOnLoad="1"/>
</workbook>
</file>

<file path=xl/sharedStrings.xml><?xml version="1.0" encoding="utf-8"?>
<sst xmlns="http://schemas.openxmlformats.org/spreadsheetml/2006/main" count="91" uniqueCount="89">
  <si>
    <t>Vbat</t>
  </si>
  <si>
    <t>Icc</t>
  </si>
  <si>
    <t>Io</t>
  </si>
  <si>
    <t>No</t>
  </si>
  <si>
    <t>RPM</t>
  </si>
  <si>
    <t xml:space="preserve">asse singolo con motore elettrico </t>
  </si>
  <si>
    <t>NOME DEL BATTELLO</t>
  </si>
  <si>
    <t>dati modello</t>
  </si>
  <si>
    <t>dati dell'elica disponibile</t>
  </si>
  <si>
    <t xml:space="preserve">Tipo di elica </t>
  </si>
  <si>
    <t>Diamento dell'elica                                                 [mm]</t>
  </si>
  <si>
    <t>Passo dell'elica                                                       [mm]</t>
  </si>
  <si>
    <t>velocità dell'asse con l'elica disponibile            (R.P.M.)</t>
  </si>
  <si>
    <t>Velocità a vuoto                                                 (R.P.M.)</t>
  </si>
  <si>
    <t>Tensione nominale                                                    (V)</t>
  </si>
  <si>
    <t xml:space="preserve">Corrente a vuoto    (alla tensione nominale)       (A) </t>
  </si>
  <si>
    <t>Corrente a rotore bloccato (tensione nominale)(A)</t>
  </si>
  <si>
    <t>dati del riduttore di giri</t>
  </si>
  <si>
    <t>rapporto di riduzione richiesto</t>
  </si>
  <si>
    <t xml:space="preserve">Rapporto di riduzione disponibile </t>
  </si>
  <si>
    <t xml:space="preserve">Tensione nominale disponibile a bordo                 [V] </t>
  </si>
  <si>
    <t>Dislocamento in superficie (peso)                          [kg]</t>
  </si>
  <si>
    <t>Lunghezza al galleggiamento                               [mm]</t>
  </si>
  <si>
    <t>velocità massima teorica                                            [nodi]</t>
  </si>
  <si>
    <t>diametro teorico dell'elica                                            [mm]</t>
  </si>
  <si>
    <t>P elica</t>
  </si>
  <si>
    <t>P.uscita</t>
  </si>
  <si>
    <t>I ass</t>
  </si>
  <si>
    <t xml:space="preserve">P elica = </t>
  </si>
  <si>
    <t>Potenza massima erogabile dal motore                       (W)</t>
  </si>
  <si>
    <t>Velocità di rotazione del motore                       (R.P.M.)</t>
  </si>
  <si>
    <t xml:space="preserve">per un sommergibile inserire la lunghezza massima </t>
  </si>
  <si>
    <t>data dal numero di elementi</t>
  </si>
  <si>
    <t xml:space="preserve">commento: ad esempio la marca dell'elica </t>
  </si>
  <si>
    <t>da catalogo</t>
  </si>
  <si>
    <t xml:space="preserve">in funzione degli spazi disponibili, ma il più vicino posssibile al valore suggerito alla riga precedente </t>
  </si>
  <si>
    <t>potenza di avanzamento alla velocità teorica              [W]</t>
  </si>
  <si>
    <t>Vbat/Vnom</t>
  </si>
  <si>
    <t>Vnom</t>
  </si>
  <si>
    <t>Iass = ( (No-N)/No)*(Icc-Io)+Io</t>
  </si>
  <si>
    <t xml:space="preserve">Dati motore e batterie </t>
  </si>
  <si>
    <t>eta= Puscita / (Vbat*Iass)</t>
  </si>
  <si>
    <t>Puscita=(Vbat*Iass-Rcc*(Iass)^2-(Vbat*Io-Rcc*Io^2)*N/No)</t>
  </si>
  <si>
    <t>Potenza asse motore alla velocità massima   (W)</t>
  </si>
  <si>
    <t>Eta rid</t>
  </si>
  <si>
    <t xml:space="preserve">Pscafo *(RPM/RPMdes)^3 / Eta rid. </t>
  </si>
  <si>
    <t xml:space="preserve">eta </t>
  </si>
  <si>
    <t>Capacita' batteria                                                    [A/h]</t>
  </si>
  <si>
    <t>Durata della carica della batteria  (minuti)</t>
  </si>
  <si>
    <t>Velocita' di rotazione dell'elica                         (R.P.M.)</t>
  </si>
  <si>
    <t xml:space="preserve">                                                   il motore selezionato e'</t>
  </si>
  <si>
    <t>NB : 1 A/h = 1000 mA/h</t>
  </si>
  <si>
    <t>Tipo di motore :digitare 260 o 280 o 400 o 472 o 0</t>
  </si>
  <si>
    <t>AVVERTENZA: RIEMPIRE SOLO LE CELLE COLORATE IN GIALLO       I RISULTATI DEL CALCOLO SONO NELLE CELLE AZZURRE</t>
  </si>
  <si>
    <t>per un sommergibile aumentare il peso di un 15%</t>
  </si>
  <si>
    <t>passo dell'elica di tentativo                                          [mm]</t>
  </si>
  <si>
    <t xml:space="preserve">questi valori sono solo  una guida per la scelta dell'elica. Cercare un'elica in commercio con  diametro e passo  più vicini possibile a questi valori </t>
  </si>
  <si>
    <t xml:space="preserve">tutte le barche hanno un nome ! </t>
  </si>
  <si>
    <t>SCELTA DELL'ELICA PER SCAFI DISLOCANTI E SOMMERGIBILI</t>
  </si>
  <si>
    <t>COMMENTI ED ISTRUZIONI PER L'USO</t>
  </si>
  <si>
    <t xml:space="preserve">questa è la potenza necessaria per spingere la nave alla velocità di progetto.Il motore dovrà avere una potenza maggiore di questo valore </t>
  </si>
  <si>
    <t>questa è la velocità a cui girerà l'elica alla velocità di progetto</t>
  </si>
  <si>
    <t xml:space="preserve">commento: il tipo di motore che avete scelto </t>
  </si>
  <si>
    <t>velocita' a vuoto (RPM)</t>
  </si>
  <si>
    <t xml:space="preserve"> corrente a vuoto (alla tensione nominale)  (A)</t>
  </si>
  <si>
    <t xml:space="preserve"> corrente a rotore bloccato (alla tensione nominale)  (A)</t>
  </si>
  <si>
    <t xml:space="preserve">tensione nominale (V) </t>
  </si>
  <si>
    <r>
      <t xml:space="preserve">Digitare : </t>
    </r>
    <r>
      <rPr>
        <b/>
        <sz val="14"/>
        <color indexed="10"/>
        <rFont val="Arial"/>
        <family val="2"/>
      </rPr>
      <t>260</t>
    </r>
    <r>
      <rPr>
        <sz val="14"/>
        <color indexed="10"/>
        <rFont val="Arial"/>
        <family val="2"/>
      </rPr>
      <t xml:space="preserve"> , </t>
    </r>
    <r>
      <rPr>
        <b/>
        <sz val="14"/>
        <color indexed="10"/>
        <rFont val="Arial"/>
        <family val="2"/>
      </rPr>
      <t>280</t>
    </r>
    <r>
      <rPr>
        <sz val="14"/>
        <color indexed="10"/>
        <rFont val="Arial"/>
        <family val="2"/>
      </rPr>
      <t xml:space="preserve"> , </t>
    </r>
    <r>
      <rPr>
        <b/>
        <sz val="14"/>
        <color indexed="10"/>
        <rFont val="Arial"/>
        <family val="2"/>
      </rPr>
      <t>400</t>
    </r>
    <r>
      <rPr>
        <sz val="14"/>
        <color indexed="10"/>
        <rFont val="Arial"/>
        <family val="2"/>
      </rPr>
      <t>,   per i motori Graupner speed  con la stessa sigla e</t>
    </r>
    <r>
      <rPr>
        <b/>
        <sz val="14"/>
        <color indexed="10"/>
        <rFont val="Arial"/>
        <family val="2"/>
      </rPr>
      <t xml:space="preserve"> 472</t>
    </r>
    <r>
      <rPr>
        <sz val="14"/>
        <color indexed="10"/>
        <rFont val="Arial"/>
        <family val="2"/>
      </rPr>
      <t xml:space="preserve"> per speed 400 a 7,2 V. Per altri motori digitare </t>
    </r>
    <r>
      <rPr>
        <b/>
        <sz val="14"/>
        <color indexed="10"/>
        <rFont val="Arial"/>
        <family val="2"/>
      </rPr>
      <t xml:space="preserve">0                  </t>
    </r>
    <r>
      <rPr>
        <sz val="14"/>
        <color indexed="10"/>
        <rFont val="Arial"/>
        <family val="2"/>
      </rPr>
      <t xml:space="preserve">e riempire i campi sottostanti con dati da catalogo o sperimentali </t>
    </r>
  </si>
  <si>
    <t xml:space="preserve">questo è il rapporto di riduzione tra motore ed elica </t>
  </si>
  <si>
    <t xml:space="preserve">dati del motore elettrico  </t>
  </si>
  <si>
    <t xml:space="preserve">prestazioni  del modello a piena velocità e piena tensione </t>
  </si>
  <si>
    <t>velocità alla quale girerà il motore alla velocità di progetto della barca</t>
  </si>
  <si>
    <t>velocità alla quale girerà l'elica alla velocità di progetto della barca</t>
  </si>
  <si>
    <t xml:space="preserve">risultato del calcolo </t>
  </si>
  <si>
    <t xml:space="preserve">se appare SUFF. Vuol dire che il motore, l'elica ed il riduttore  sono stati scelti correttamente per raggungere le prestazioni richieste. Se appre INSUFF. Vedere la nota  1 in basso </t>
  </si>
  <si>
    <t xml:space="preserve">                                                    la velocita' dell'elica e'</t>
  </si>
  <si>
    <t xml:space="preserve">durata teorica della batteria alla massima velocità </t>
  </si>
  <si>
    <t xml:space="preserve">ridurre il rapporto ri riduzione del riduttore di giri </t>
  </si>
  <si>
    <t xml:space="preserve">aumentare la tensione di alimentazione del motore (il numero di elementi presenti a bordo) </t>
  </si>
  <si>
    <t xml:space="preserve">aumentare il passo dell'elica  (cioè sceglierne un'altra) </t>
  </si>
  <si>
    <t xml:space="preserve">cambiare il motore con un altro con velocità a vuoto maggiore. </t>
  </si>
  <si>
    <t xml:space="preserve">cambiare motore con uno più potente </t>
  </si>
  <si>
    <t xml:space="preserve">1) se alla riga 38 appare INSUFF vuol dire che l'elica gira troppo lentamente per spingere la barca alla velocità di progetto. I possibili rimedi sono: </t>
  </si>
  <si>
    <t xml:space="preserve">2) se alla riga 42 appare ISUFF vuol dire che l'elica alla velocità che permeterebbe alla barca di raggiungere la velocità di progetto assorbe più potenza di quella del motore selezionato. I possibili rimedi sono: </t>
  </si>
  <si>
    <t xml:space="preserve">questa è la velocità di progetto della barca </t>
  </si>
  <si>
    <t>se appare OK vuol dire che il motore è in grado di far raggiungere alla barca le prestazioni richieste se invece appare INSUFF vedere la nota 2 in basso</t>
  </si>
  <si>
    <t>U-boot</t>
  </si>
  <si>
    <t xml:space="preserve">raboesh 6 pale </t>
  </si>
  <si>
    <t>543-23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</si>
</sst>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00"/>
    <numFmt numFmtId="175" formatCode="0.000000000"/>
    <numFmt numFmtId="176" formatCode="0.0000000"/>
    <numFmt numFmtId="177" formatCode="0.000000"/>
  </numFmts>
  <fonts count="6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0"/>
    </font>
    <font>
      <u val="single"/>
      <sz val="7.5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>
      <alignment/>
    </xf>
    <xf numFmtId="0" fontId="0" fillId="0" borderId="0" xfId="0" applyFill="1" applyAlignment="1" applyProtection="1" quotePrefix="1">
      <alignment horizontal="left"/>
      <protection hidden="1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1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1" fillId="0" borderId="17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1" fontId="2" fillId="0" borderId="24" xfId="0" applyNumberFormat="1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170" fontId="1" fillId="33" borderId="24" xfId="0" applyNumberFormat="1" applyFont="1" applyFill="1" applyBorder="1" applyAlignment="1" applyProtection="1">
      <alignment horizontal="center"/>
      <protection/>
    </xf>
    <xf numFmtId="2" fontId="1" fillId="33" borderId="26" xfId="0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34" borderId="25" xfId="0" applyFont="1" applyFill="1" applyBorder="1" applyAlignment="1" applyProtection="1">
      <alignment horizontal="center"/>
      <protection locked="0"/>
    </xf>
    <xf numFmtId="1" fontId="2" fillId="34" borderId="27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170" fontId="2" fillId="34" borderId="24" xfId="0" applyNumberFormat="1" applyFont="1" applyFill="1" applyBorder="1" applyAlignment="1" applyProtection="1">
      <alignment horizontal="center"/>
      <protection locked="0"/>
    </xf>
    <xf numFmtId="170" fontId="2" fillId="34" borderId="26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2" fontId="2" fillId="0" borderId="24" xfId="0" applyNumberFormat="1" applyFont="1" applyBorder="1" applyAlignment="1" applyProtection="1">
      <alignment horizontal="center"/>
      <protection/>
    </xf>
    <xf numFmtId="1" fontId="1" fillId="33" borderId="26" xfId="0" applyNumberFormat="1" applyFont="1" applyFill="1" applyBorder="1" applyAlignment="1" applyProtection="1">
      <alignment horizontal="center"/>
      <protection/>
    </xf>
    <xf numFmtId="1" fontId="2" fillId="34" borderId="24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17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/>
    </xf>
    <xf numFmtId="1" fontId="2" fillId="33" borderId="24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1" fontId="2" fillId="33" borderId="29" xfId="0" applyNumberFormat="1" applyFont="1" applyFill="1" applyBorder="1" applyAlignment="1" applyProtection="1">
      <alignment horizontal="center"/>
      <protection/>
    </xf>
    <xf numFmtId="2" fontId="59" fillId="0" borderId="10" xfId="0" applyNumberFormat="1" applyFont="1" applyBorder="1" applyAlignment="1">
      <alignment/>
    </xf>
    <xf numFmtId="0" fontId="11" fillId="0" borderId="24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17" fillId="0" borderId="17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2" fillId="35" borderId="24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2" fontId="2" fillId="33" borderId="2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953"/>
          <c:h val="0.8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grafici!$A$10:$A$40</c:f>
              <c:numCache/>
            </c:numRef>
          </c:xVal>
          <c:yVal>
            <c:numRef>
              <c:f>grafici!$B$10:$B$40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grafici!$A$10:$A$40</c:f>
              <c:numCache/>
            </c:numRef>
          </c:xVal>
          <c:yVal>
            <c:numRef>
              <c:f>grafici!$C$10:$C$40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grafici!$A$10:$A$40</c:f>
              <c:numCache/>
            </c:numRef>
          </c:xVal>
          <c:yVal>
            <c:numRef>
              <c:f>grafici!$D$10:$D$40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grafici!$A$10:$A$40</c:f>
              <c:numCache/>
            </c:numRef>
          </c:xVal>
          <c:yVal>
            <c:numRef>
              <c:f>grafici!$E$10:$E$40</c:f>
              <c:numCache/>
            </c:numRef>
          </c:yVal>
          <c:smooth val="1"/>
        </c:ser>
        <c:axId val="48044973"/>
        <c:axId val="29751574"/>
      </c:scatterChart>
      <c:val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R.P.M.  motore 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574"/>
        <c:crosses val="autoZero"/>
        <c:crossBetween val="midCat"/>
        <c:dispUnits/>
      </c:valAx>
      <c:valAx>
        <c:axId val="2975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4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8</xdr:row>
      <xdr:rowOff>0</xdr:rowOff>
    </xdr:from>
    <xdr:to>
      <xdr:col>12</xdr:col>
      <xdr:colOff>238125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3514725" y="1304925"/>
        <a:ext cx="4152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75" zoomScaleNormal="75" zoomScalePageLayoutView="0" workbookViewId="0" topLeftCell="A18">
      <selection activeCell="C35" sqref="C34:F35"/>
    </sheetView>
  </sheetViews>
  <sheetFormatPr defaultColWidth="9.140625" defaultRowHeight="12.75"/>
  <cols>
    <col min="1" max="1" width="71.7109375" style="0" customWidth="1"/>
    <col min="2" max="2" width="23.421875" style="0" customWidth="1"/>
    <col min="3" max="3" width="56.28125" style="0" customWidth="1"/>
    <col min="4" max="4" width="9.28125" style="27" bestFit="1" customWidth="1"/>
    <col min="6" max="6" width="11.57421875" style="0" customWidth="1"/>
  </cols>
  <sheetData>
    <row r="1" spans="1:6" ht="40.5" customHeight="1">
      <c r="A1" s="60" t="s">
        <v>58</v>
      </c>
      <c r="B1" s="61"/>
      <c r="C1" s="69" t="s">
        <v>59</v>
      </c>
      <c r="D1" s="70"/>
      <c r="E1" s="70"/>
      <c r="F1" s="70"/>
    </row>
    <row r="2" spans="1:6" ht="20.25">
      <c r="A2" s="62" t="s">
        <v>5</v>
      </c>
      <c r="B2" s="63"/>
      <c r="C2" s="72" t="s">
        <v>53</v>
      </c>
      <c r="D2" s="73"/>
      <c r="E2" s="73"/>
      <c r="F2" s="73"/>
    </row>
    <row r="3" spans="1:6" ht="21" thickBot="1">
      <c r="A3" s="19"/>
      <c r="B3" s="21"/>
      <c r="C3" s="72"/>
      <c r="D3" s="73"/>
      <c r="E3" s="73"/>
      <c r="F3" s="73"/>
    </row>
    <row r="4" spans="1:6" ht="20.25">
      <c r="A4" s="38" t="s">
        <v>6</v>
      </c>
      <c r="B4" s="39" t="s">
        <v>86</v>
      </c>
      <c r="C4" s="64" t="s">
        <v>57</v>
      </c>
      <c r="D4" s="65"/>
      <c r="E4" s="65"/>
      <c r="F4" s="65"/>
    </row>
    <row r="5" spans="1:6" ht="21" thickBot="1">
      <c r="A5" s="20" t="s">
        <v>7</v>
      </c>
      <c r="B5" s="92"/>
      <c r="C5" s="67"/>
      <c r="D5" s="68"/>
      <c r="E5" s="68"/>
      <c r="F5" s="68"/>
    </row>
    <row r="6" spans="1:6" ht="20.25">
      <c r="A6" s="28" t="s">
        <v>22</v>
      </c>
      <c r="B6" s="40">
        <v>850</v>
      </c>
      <c r="C6" s="64" t="s">
        <v>31</v>
      </c>
      <c r="D6" s="64"/>
      <c r="E6" s="64"/>
      <c r="F6" s="64"/>
    </row>
    <row r="7" spans="1:6" ht="20.25">
      <c r="A7" s="28" t="s">
        <v>21</v>
      </c>
      <c r="B7" s="41">
        <v>3.5</v>
      </c>
      <c r="C7" s="64" t="s">
        <v>54</v>
      </c>
      <c r="D7" s="64"/>
      <c r="E7" s="64"/>
      <c r="F7" s="64"/>
    </row>
    <row r="8" spans="1:6" ht="20.25">
      <c r="A8" s="58" t="s">
        <v>20</v>
      </c>
      <c r="B8" s="42">
        <v>6</v>
      </c>
      <c r="C8" s="64" t="s">
        <v>32</v>
      </c>
      <c r="D8" s="64"/>
      <c r="E8" s="64"/>
      <c r="F8" s="64"/>
    </row>
    <row r="9" spans="1:6" ht="21" thickBot="1">
      <c r="A9" s="29" t="s">
        <v>47</v>
      </c>
      <c r="B9" s="43">
        <v>5</v>
      </c>
      <c r="C9" s="64" t="s">
        <v>51</v>
      </c>
      <c r="D9" s="64"/>
      <c r="E9" s="64"/>
      <c r="F9" s="64"/>
    </row>
    <row r="10" spans="1:6" ht="20.25" customHeight="1">
      <c r="A10" s="32" t="s">
        <v>23</v>
      </c>
      <c r="B10" s="35">
        <f>1.32*(B6/304.8)^0.5</f>
        <v>2.204326454523067</v>
      </c>
      <c r="C10" s="64" t="s">
        <v>84</v>
      </c>
      <c r="D10" s="65"/>
      <c r="E10" s="65"/>
      <c r="F10" s="65"/>
    </row>
    <row r="11" spans="1:6" ht="20.25" customHeight="1">
      <c r="A11" s="23" t="s">
        <v>55</v>
      </c>
      <c r="B11" s="36">
        <f>B10*1057/1800*25.4*1.4</f>
        <v>46.02991227780121</v>
      </c>
      <c r="C11" s="66" t="s">
        <v>56</v>
      </c>
      <c r="D11" s="66"/>
      <c r="E11" s="66"/>
      <c r="F11" s="66"/>
    </row>
    <row r="12" spans="1:6" ht="20.25" customHeight="1">
      <c r="A12" s="23" t="s">
        <v>24</v>
      </c>
      <c r="B12" s="36">
        <f>B11/1.15</f>
        <v>40.02601067634888</v>
      </c>
      <c r="C12" s="66"/>
      <c r="D12" s="66"/>
      <c r="E12" s="66"/>
      <c r="F12" s="66"/>
    </row>
    <row r="13" spans="1:6" ht="21" thickBot="1">
      <c r="A13" s="34" t="s">
        <v>36</v>
      </c>
      <c r="B13" s="37">
        <f>2.5*B7^0.66*(B10*0.51)^3</f>
        <v>8.120133781503188</v>
      </c>
      <c r="C13" s="71" t="s">
        <v>60</v>
      </c>
      <c r="D13" s="71"/>
      <c r="E13" s="71"/>
      <c r="F13" s="71"/>
    </row>
    <row r="14" spans="1:6" ht="25.5" customHeight="1">
      <c r="A14" s="24" t="s">
        <v>8</v>
      </c>
      <c r="B14" s="44"/>
      <c r="C14" s="71"/>
      <c r="D14" s="71"/>
      <c r="E14" s="71"/>
      <c r="F14" s="71"/>
    </row>
    <row r="15" spans="1:6" ht="20.25">
      <c r="A15" s="28" t="s">
        <v>9</v>
      </c>
      <c r="B15" s="41" t="s">
        <v>87</v>
      </c>
      <c r="C15" s="64" t="s">
        <v>33</v>
      </c>
      <c r="D15" s="65"/>
      <c r="E15" s="65"/>
      <c r="F15" s="65"/>
    </row>
    <row r="16" spans="1:7" ht="20.25">
      <c r="A16" s="28" t="s">
        <v>10</v>
      </c>
      <c r="B16" s="41">
        <v>50</v>
      </c>
      <c r="C16" s="64" t="s">
        <v>34</v>
      </c>
      <c r="D16" s="64"/>
      <c r="E16" s="64"/>
      <c r="F16" s="64"/>
      <c r="G16" s="3"/>
    </row>
    <row r="17" spans="1:6" ht="20.25">
      <c r="A17" s="28" t="s">
        <v>11</v>
      </c>
      <c r="B17" s="41">
        <v>51.2</v>
      </c>
      <c r="C17" s="64" t="s">
        <v>34</v>
      </c>
      <c r="D17" s="64"/>
      <c r="E17" s="64"/>
      <c r="F17" s="64"/>
    </row>
    <row r="18" spans="1:6" ht="20.25">
      <c r="A18" s="28"/>
      <c r="B18" s="45"/>
      <c r="C18" s="64"/>
      <c r="D18" s="65"/>
      <c r="E18" s="65"/>
      <c r="F18" s="65"/>
    </row>
    <row r="19" spans="1:6" ht="21" thickBot="1">
      <c r="A19" s="34" t="s">
        <v>12</v>
      </c>
      <c r="B19" s="46">
        <f>B10*1057/(B17/(1.4*25.4))</f>
        <v>1618.2391035164483</v>
      </c>
      <c r="C19" s="64" t="s">
        <v>61</v>
      </c>
      <c r="D19" s="65"/>
      <c r="E19" s="65"/>
      <c r="F19" s="65"/>
    </row>
    <row r="20" spans="1:6" ht="21" thickBot="1">
      <c r="A20" s="20" t="s">
        <v>69</v>
      </c>
      <c r="B20" s="39" t="s">
        <v>88</v>
      </c>
      <c r="C20" s="64" t="s">
        <v>62</v>
      </c>
      <c r="D20" s="64"/>
      <c r="E20" s="64"/>
      <c r="F20" s="64"/>
    </row>
    <row r="21" spans="1:6" ht="20.25">
      <c r="A21" s="28" t="s">
        <v>52</v>
      </c>
      <c r="B21" s="47">
        <v>0</v>
      </c>
      <c r="C21" s="77" t="s">
        <v>67</v>
      </c>
      <c r="D21" s="77"/>
      <c r="E21" s="77"/>
      <c r="F21" s="77"/>
    </row>
    <row r="22" spans="1:6" ht="35.25" customHeight="1" thickBot="1">
      <c r="A22" s="28"/>
      <c r="B22" s="48"/>
      <c r="C22" s="78"/>
      <c r="D22" s="78"/>
      <c r="E22" s="78"/>
      <c r="F22" s="78"/>
    </row>
    <row r="23" spans="1:6" ht="20.25">
      <c r="A23" s="28" t="s">
        <v>13</v>
      </c>
      <c r="B23" s="54">
        <f>IF(B21=400,18000,IF(B21=280,14000,IF(B21=472,16400,IF(B21=260,12300,IF(B21=0,F23,"na")))))</f>
        <v>8300</v>
      </c>
      <c r="C23" s="81" t="s">
        <v>63</v>
      </c>
      <c r="D23" s="81"/>
      <c r="E23" s="81"/>
      <c r="F23" s="90">
        <v>8300</v>
      </c>
    </row>
    <row r="24" spans="1:6" ht="20.25">
      <c r="A24" s="28" t="s">
        <v>14</v>
      </c>
      <c r="B24" s="54">
        <f>IF(B21=400,6,IF(B21=280,6,IF(B21=472,7.2,IF(B21=260,3,IF(B21=0,F24,"na")))))</f>
        <v>6</v>
      </c>
      <c r="C24" s="64" t="s">
        <v>66</v>
      </c>
      <c r="D24" s="65"/>
      <c r="E24" s="65"/>
      <c r="F24" s="90">
        <v>6</v>
      </c>
    </row>
    <row r="25" spans="1:6" ht="20.25">
      <c r="A25" s="28" t="s">
        <v>15</v>
      </c>
      <c r="B25" s="93">
        <f>IF(B21=400,0.7,IF(B21=280,0.275,IF(B21=472,0.5,IF(B21=260,0.2,IF(B21=0,F25,IF(B21=0,F26,"na"))))))</f>
        <v>0.6</v>
      </c>
      <c r="C25" s="64" t="s">
        <v>64</v>
      </c>
      <c r="D25" s="65"/>
      <c r="E25" s="65"/>
      <c r="F25" s="91">
        <v>0.6</v>
      </c>
    </row>
    <row r="26" spans="1:6" ht="21" customHeight="1" thickBot="1">
      <c r="A26" s="30" t="s">
        <v>16</v>
      </c>
      <c r="B26" s="93">
        <f>IF(B21=400,25,IF(B21=280,6.8,IF(B21=472,21,IF(B21=260,4.7,IF(B21=0,F26,"na")))))</f>
        <v>13</v>
      </c>
      <c r="C26" s="71" t="s">
        <v>65</v>
      </c>
      <c r="D26" s="71"/>
      <c r="E26" s="71"/>
      <c r="F26" s="91">
        <v>13</v>
      </c>
    </row>
    <row r="27" spans="1:6" ht="21" customHeight="1">
      <c r="A27" s="85" t="s">
        <v>17</v>
      </c>
      <c r="B27" s="86"/>
      <c r="C27" s="87"/>
      <c r="D27" s="71"/>
      <c r="E27" s="71"/>
      <c r="F27" s="71"/>
    </row>
    <row r="28" spans="2:6" ht="20.25">
      <c r="B28" s="49"/>
      <c r="C28" s="87"/>
      <c r="D28" s="71"/>
      <c r="E28" s="71"/>
      <c r="F28" s="71"/>
    </row>
    <row r="29" spans="1:6" ht="20.25">
      <c r="A29" s="23" t="s">
        <v>18</v>
      </c>
      <c r="B29" s="50">
        <f>B23/B19*0.75*(B8/B24)</f>
        <v>3.8467739325251866</v>
      </c>
      <c r="C29" s="64" t="s">
        <v>68</v>
      </c>
      <c r="D29" s="65"/>
      <c r="E29" s="65"/>
      <c r="F29" s="65"/>
    </row>
    <row r="30" spans="1:6" ht="21" thickBot="1">
      <c r="A30" s="30" t="s">
        <v>19</v>
      </c>
      <c r="B30" s="42">
        <v>5</v>
      </c>
      <c r="C30" s="71" t="s">
        <v>35</v>
      </c>
      <c r="D30" s="71"/>
      <c r="E30" s="71"/>
      <c r="F30" s="71"/>
    </row>
    <row r="31" spans="1:6" ht="20.25">
      <c r="A31" s="31"/>
      <c r="B31" s="51"/>
      <c r="C31" s="71"/>
      <c r="D31" s="71"/>
      <c r="E31" s="71"/>
      <c r="F31" s="71"/>
    </row>
    <row r="32" spans="1:6" ht="20.25">
      <c r="A32" s="79" t="s">
        <v>70</v>
      </c>
      <c r="B32" s="80"/>
      <c r="C32" s="84"/>
      <c r="D32" s="64"/>
      <c r="E32" s="64"/>
      <c r="F32" s="64"/>
    </row>
    <row r="33" spans="2:6" ht="20.25">
      <c r="B33" s="52"/>
      <c r="C33" s="84"/>
      <c r="D33" s="64"/>
      <c r="E33" s="64"/>
      <c r="F33" s="64"/>
    </row>
    <row r="34" spans="1:6" ht="20.25">
      <c r="A34" s="22" t="s">
        <v>30</v>
      </c>
      <c r="B34" s="53">
        <f>SUM(grafici!O42)</f>
        <v>7470.000000000003</v>
      </c>
      <c r="C34" s="84" t="s">
        <v>71</v>
      </c>
      <c r="D34" s="65"/>
      <c r="E34" s="65"/>
      <c r="F34" s="65"/>
    </row>
    <row r="35" spans="1:6" ht="20.25">
      <c r="A35" s="22" t="s">
        <v>49</v>
      </c>
      <c r="B35" s="54">
        <f>B34/B30</f>
        <v>1494.0000000000005</v>
      </c>
      <c r="C35" s="84" t="s">
        <v>72</v>
      </c>
      <c r="D35" s="65"/>
      <c r="E35" s="65"/>
      <c r="F35" s="65"/>
    </row>
    <row r="36" spans="1:6" ht="20.25">
      <c r="A36" s="22"/>
      <c r="B36" s="33"/>
      <c r="C36" s="82"/>
      <c r="D36" s="83"/>
      <c r="E36" s="83"/>
      <c r="F36" s="83"/>
    </row>
    <row r="37" spans="1:6" ht="20.25" customHeight="1">
      <c r="A37" s="75" t="s">
        <v>73</v>
      </c>
      <c r="B37" s="76"/>
      <c r="C37" s="82"/>
      <c r="D37" s="83"/>
      <c r="E37" s="83"/>
      <c r="F37" s="83"/>
    </row>
    <row r="38" spans="1:6" ht="20.25">
      <c r="A38" s="22" t="s">
        <v>75</v>
      </c>
      <c r="B38" s="55" t="str">
        <f>IF(B19&gt;B35,"INSUFF.","SUFF.")</f>
        <v>INSUFF.</v>
      </c>
      <c r="C38" s="87" t="s">
        <v>74</v>
      </c>
      <c r="D38" s="71"/>
      <c r="E38" s="71"/>
      <c r="F38" s="71"/>
    </row>
    <row r="39" spans="1:6" ht="20.25">
      <c r="A39" s="22"/>
      <c r="B39" s="52"/>
      <c r="C39" s="87"/>
      <c r="D39" s="71"/>
      <c r="E39" s="71"/>
      <c r="F39" s="71"/>
    </row>
    <row r="40" spans="1:6" ht="20.25">
      <c r="A40" s="23" t="s">
        <v>29</v>
      </c>
      <c r="B40" s="36">
        <f>MAX(grafici!C10:C40)</f>
        <v>17.74153846153846</v>
      </c>
      <c r="C40" s="87"/>
      <c r="D40" s="71"/>
      <c r="E40" s="71"/>
      <c r="F40" s="71"/>
    </row>
    <row r="41" spans="1:6" ht="20.25">
      <c r="A41" s="23" t="s">
        <v>43</v>
      </c>
      <c r="B41" s="50">
        <f>IF(B30=1,B13*((B34/B30)/B19)^3,B13*((B34/B30)/B19)^3/0.85)</f>
        <v>7.517405494898179</v>
      </c>
      <c r="C41" s="82" t="str">
        <f>IF(B40/B41&gt;2,"Motore esuberante. E' possibile utilizzare un motore meno potente.",".")</f>
        <v>Motore esuberante. E' possibile utilizzare un motore meno potente.</v>
      </c>
      <c r="D41" s="83"/>
      <c r="E41" s="83"/>
      <c r="F41" s="83"/>
    </row>
    <row r="42" spans="1:6" ht="20.25">
      <c r="A42" s="26" t="s">
        <v>50</v>
      </c>
      <c r="B42" s="55" t="str">
        <f>IF(B41/B40&lt;0.9,"OK","INSUFF")</f>
        <v>OK</v>
      </c>
      <c r="C42" s="87" t="s">
        <v>85</v>
      </c>
      <c r="D42" s="71"/>
      <c r="E42" s="71"/>
      <c r="F42" s="71"/>
    </row>
    <row r="43" spans="1:6" ht="20.25">
      <c r="A43" s="25"/>
      <c r="B43" s="52"/>
      <c r="C43" s="87"/>
      <c r="D43" s="71"/>
      <c r="E43" s="71"/>
      <c r="F43" s="71"/>
    </row>
    <row r="44" spans="1:6" ht="20.25">
      <c r="A44" s="25"/>
      <c r="B44" s="52"/>
      <c r="C44" s="71"/>
      <c r="D44" s="71"/>
      <c r="E44" s="71"/>
      <c r="F44" s="71"/>
    </row>
    <row r="45" spans="1:6" ht="21" thickBot="1">
      <c r="A45" s="26" t="s">
        <v>48</v>
      </c>
      <c r="B45" s="56">
        <f>(B9*0.8/grafici!P42)*60</f>
        <v>130.43478260869594</v>
      </c>
      <c r="C45" s="88" t="s">
        <v>76</v>
      </c>
      <c r="D45" s="89"/>
      <c r="E45" s="89"/>
      <c r="F45" s="89"/>
    </row>
    <row r="46" ht="15">
      <c r="B46" s="2"/>
    </row>
    <row r="47" spans="1:3" ht="15">
      <c r="A47" s="74" t="s">
        <v>82</v>
      </c>
      <c r="B47" s="74"/>
      <c r="C47" s="74"/>
    </row>
    <row r="48" spans="1:2" ht="15">
      <c r="A48" s="74" t="s">
        <v>77</v>
      </c>
      <c r="B48" s="74"/>
    </row>
    <row r="49" spans="1:2" ht="15">
      <c r="A49" t="s">
        <v>78</v>
      </c>
      <c r="B49" s="2"/>
    </row>
    <row r="50" spans="1:2" ht="15">
      <c r="A50" t="s">
        <v>79</v>
      </c>
      <c r="B50" s="1"/>
    </row>
    <row r="51" spans="1:2" ht="15">
      <c r="A51" t="s">
        <v>80</v>
      </c>
      <c r="B51" s="1"/>
    </row>
    <row r="53" spans="1:4" ht="15" customHeight="1">
      <c r="A53" s="59" t="s">
        <v>83</v>
      </c>
      <c r="B53" s="59"/>
      <c r="C53" s="59"/>
      <c r="D53" s="59"/>
    </row>
    <row r="54" ht="15">
      <c r="A54" t="s">
        <v>81</v>
      </c>
    </row>
    <row r="55" ht="15">
      <c r="A55" t="s">
        <v>78</v>
      </c>
    </row>
  </sheetData>
  <sheetProtection password="AEF8" sheet="1"/>
  <mergeCells count="44">
    <mergeCell ref="A27:B27"/>
    <mergeCell ref="C42:F44"/>
    <mergeCell ref="C45:F45"/>
    <mergeCell ref="A47:C47"/>
    <mergeCell ref="C38:F40"/>
    <mergeCell ref="C41:F41"/>
    <mergeCell ref="C27:F27"/>
    <mergeCell ref="C28:F28"/>
    <mergeCell ref="C32:F32"/>
    <mergeCell ref="C33:F33"/>
    <mergeCell ref="C36:F36"/>
    <mergeCell ref="C37:F37"/>
    <mergeCell ref="C34:F34"/>
    <mergeCell ref="C35:F35"/>
    <mergeCell ref="C29:F29"/>
    <mergeCell ref="C30:F31"/>
    <mergeCell ref="A48:B48"/>
    <mergeCell ref="A37:B37"/>
    <mergeCell ref="C17:F17"/>
    <mergeCell ref="C18:F18"/>
    <mergeCell ref="C19:F19"/>
    <mergeCell ref="C20:F20"/>
    <mergeCell ref="C21:F22"/>
    <mergeCell ref="A32:B32"/>
    <mergeCell ref="C23:E23"/>
    <mergeCell ref="C24:E24"/>
    <mergeCell ref="C25:E25"/>
    <mergeCell ref="C26:E26"/>
    <mergeCell ref="C2:F3"/>
    <mergeCell ref="C4:F4"/>
    <mergeCell ref="C6:F6"/>
    <mergeCell ref="C13:F14"/>
    <mergeCell ref="C15:F15"/>
    <mergeCell ref="C16:F16"/>
    <mergeCell ref="A53:D53"/>
    <mergeCell ref="A1:B1"/>
    <mergeCell ref="A2:B2"/>
    <mergeCell ref="C10:F10"/>
    <mergeCell ref="C11:F12"/>
    <mergeCell ref="C7:F7"/>
    <mergeCell ref="C5:F5"/>
    <mergeCell ref="C8:F8"/>
    <mergeCell ref="C9:F9"/>
    <mergeCell ref="C1:F1"/>
  </mergeCells>
  <printOptions/>
  <pageMargins left="0.25" right="0.19" top="0.33" bottom="0.49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00390625" style="0" customWidth="1"/>
    <col min="2" max="2" width="10.00390625" style="0" bestFit="1" customWidth="1"/>
    <col min="14" max="15" width="10.00390625" style="0" bestFit="1" customWidth="1"/>
  </cols>
  <sheetData>
    <row r="1" ht="12.75">
      <c r="A1" t="s">
        <v>40</v>
      </c>
    </row>
    <row r="2" spans="1:5" ht="12.75">
      <c r="A2" t="s">
        <v>0</v>
      </c>
      <c r="B2" s="7">
        <f>'motore elettrico 1 asse'!B8</f>
        <v>6</v>
      </c>
      <c r="E2" s="6" t="s">
        <v>42</v>
      </c>
    </row>
    <row r="3" spans="1:5" ht="12.75">
      <c r="A3" t="s">
        <v>38</v>
      </c>
      <c r="B3" s="7">
        <f>'motore elettrico 1 asse'!B24</f>
        <v>6</v>
      </c>
      <c r="E3" t="s">
        <v>41</v>
      </c>
    </row>
    <row r="4" spans="1:5" ht="12.75">
      <c r="A4" t="s">
        <v>37</v>
      </c>
      <c r="B4" s="7">
        <f>B2/B3</f>
        <v>1</v>
      </c>
      <c r="E4" s="4" t="s">
        <v>39</v>
      </c>
    </row>
    <row r="5" spans="1:6" ht="12.75">
      <c r="A5" t="s">
        <v>1</v>
      </c>
      <c r="B5">
        <f>'motore elettrico 1 asse'!B26*B4</f>
        <v>13</v>
      </c>
      <c r="E5" s="8" t="s">
        <v>28</v>
      </c>
      <c r="F5" t="s">
        <v>45</v>
      </c>
    </row>
    <row r="6" spans="1:2" ht="12.75">
      <c r="A6" t="s">
        <v>2</v>
      </c>
      <c r="B6" s="5">
        <f>'motore elettrico 1 asse'!B25*B4</f>
        <v>0.6</v>
      </c>
    </row>
    <row r="7" spans="1:2" ht="12.75">
      <c r="A7" t="s">
        <v>3</v>
      </c>
      <c r="B7" s="7">
        <f>'motore elettrico 1 asse'!B23*B4</f>
        <v>8300</v>
      </c>
    </row>
    <row r="8" spans="1:2" ht="13.5" thickBot="1">
      <c r="A8" t="s">
        <v>44</v>
      </c>
      <c r="B8">
        <f>IF('motore elettrico 1 asse'!B30=1,1,0.85)</f>
        <v>0.85</v>
      </c>
    </row>
    <row r="9" spans="1:5" ht="12.75">
      <c r="A9" s="11" t="s">
        <v>4</v>
      </c>
      <c r="B9" s="16" t="s">
        <v>27</v>
      </c>
      <c r="C9" s="17" t="s">
        <v>26</v>
      </c>
      <c r="D9" s="18" t="s">
        <v>46</v>
      </c>
      <c r="E9" s="12" t="s">
        <v>25</v>
      </c>
    </row>
    <row r="10" spans="1:5" ht="12.75">
      <c r="A10" s="13">
        <v>0</v>
      </c>
      <c r="B10" s="15">
        <f aca="true" t="shared" si="0" ref="B10:B40">(($B$7-A10)/$B$7)*($B$5-$B$6)+$B$6</f>
        <v>13</v>
      </c>
      <c r="C10" s="10">
        <v>0</v>
      </c>
      <c r="D10" s="9">
        <v>0</v>
      </c>
      <c r="E10" s="14">
        <f>'motore elettrico 1 asse'!$B$13*((A10/'motore elettrico 1 asse'!$B$30)/'motore elettrico 1 asse'!$B$19)^3/$B$8</f>
        <v>0</v>
      </c>
    </row>
    <row r="11" spans="1:14" ht="12.75">
      <c r="A11" s="13">
        <f>A10+($B$7/30)</f>
        <v>276.6666666666667</v>
      </c>
      <c r="B11" s="15">
        <f t="shared" si="0"/>
        <v>12.586666666666666</v>
      </c>
      <c r="C11" s="10">
        <f>$B$2*B11-$B$2/$B$5*(B11)^2-($B$2*$B$6-$B$2/$B$5*$B$6^2)*A11/$B$7</f>
        <v>2.2866871794871764</v>
      </c>
      <c r="D11" s="9">
        <f>C11/($B$2*B11)</f>
        <v>0.03027922642329418</v>
      </c>
      <c r="E11" s="14">
        <f>'motore elettrico 1 asse'!$B$13*((A11/'motore elettrico 1 asse'!$B$30)/'motore elettrico 1 asse'!$B$19)^3/$B$8</f>
        <v>0.0003819237664430306</v>
      </c>
      <c r="N11">
        <f>IF(E18-C18&lt;0,0,E18-C18)</f>
        <v>0</v>
      </c>
    </row>
    <row r="12" spans="1:5" ht="12.75">
      <c r="A12" s="13">
        <f aca="true" t="shared" si="1" ref="A12:A40">A11+($B$7/30)</f>
        <v>553.3333333333334</v>
      </c>
      <c r="B12" s="15">
        <f t="shared" si="0"/>
        <v>12.173333333333334</v>
      </c>
      <c r="C12" s="10">
        <f aca="true" t="shared" si="2" ref="C12:C40">$B$2*B12-$B$2/$B$5*(B12)^2-($B$2*$B$6-$B$2/$B$5*$B$6^2)*A12/$B$7</f>
        <v>4.4156717948717885</v>
      </c>
      <c r="D12" s="9">
        <f aca="true" t="shared" si="3" ref="D12:D40">C12/($B$2*B12)</f>
        <v>0.06045552840733554</v>
      </c>
      <c r="E12" s="14">
        <f>'motore elettrico 1 asse'!$B$13*((A12/'motore elettrico 1 asse'!$B$30)/'motore elettrico 1 asse'!$B$19)^3/$B$8</f>
        <v>0.003055390131544245</v>
      </c>
    </row>
    <row r="13" spans="1:14" ht="12.75">
      <c r="A13" s="13">
        <f t="shared" si="1"/>
        <v>830</v>
      </c>
      <c r="B13" s="15">
        <f t="shared" si="0"/>
        <v>11.76</v>
      </c>
      <c r="C13" s="10">
        <f t="shared" si="2"/>
        <v>6.38695384615385</v>
      </c>
      <c r="D13" s="9">
        <f t="shared" si="3"/>
        <v>0.09051805337519629</v>
      </c>
      <c r="E13" s="14">
        <f>'motore elettrico 1 asse'!$B$13*((A13/'motore elettrico 1 asse'!$B$30)/'motore elettrico 1 asse'!$B$19)^3/$B$8</f>
        <v>0.010311941693961824</v>
      </c>
      <c r="N13" s="7"/>
    </row>
    <row r="14" spans="1:5" ht="12.75">
      <c r="A14" s="13">
        <f t="shared" si="1"/>
        <v>1106.6666666666667</v>
      </c>
      <c r="B14" s="15">
        <f t="shared" si="0"/>
        <v>11.346666666666666</v>
      </c>
      <c r="C14" s="10">
        <f t="shared" si="2"/>
        <v>8.200533333333334</v>
      </c>
      <c r="D14" s="9">
        <f t="shared" si="3"/>
        <v>0.12045436741088916</v>
      </c>
      <c r="E14" s="14">
        <f>'motore elettrico 1 asse'!$B$13*((A14/'motore elettrico 1 asse'!$B$30)/'motore elettrico 1 asse'!$B$19)^3/$B$8</f>
        <v>0.02444312105235396</v>
      </c>
    </row>
    <row r="15" spans="1:5" ht="12.75">
      <c r="A15" s="13">
        <f t="shared" si="1"/>
        <v>1383.3333333333335</v>
      </c>
      <c r="B15" s="15">
        <f t="shared" si="0"/>
        <v>10.933333333333332</v>
      </c>
      <c r="C15" s="10">
        <f t="shared" si="2"/>
        <v>9.85641025641026</v>
      </c>
      <c r="D15" s="9">
        <f t="shared" si="3"/>
        <v>0.1502501563477174</v>
      </c>
      <c r="E15" s="14">
        <f>'motore elettrico 1 asse'!$B$13*((A15/'motore elettrico 1 asse'!$B$30)/'motore elettrico 1 asse'!$B$19)^3/$B$8</f>
        <v>0.04774047080537885</v>
      </c>
    </row>
    <row r="16" spans="1:16" ht="12.75">
      <c r="A16" s="13">
        <f t="shared" si="1"/>
        <v>1660.0000000000002</v>
      </c>
      <c r="B16" s="15">
        <f t="shared" si="0"/>
        <v>10.520000000000001</v>
      </c>
      <c r="C16" s="10">
        <f t="shared" si="2"/>
        <v>11.354584615384601</v>
      </c>
      <c r="D16" s="9">
        <f t="shared" si="3"/>
        <v>0.1798888563907573</v>
      </c>
      <c r="E16" s="14">
        <f>'motore elettrico 1 asse'!$B$13*((A16/'motore elettrico 1 asse'!$B$30)/'motore elettrico 1 asse'!$B$19)^3/$B$8</f>
        <v>0.08249553355169467</v>
      </c>
      <c r="N16">
        <f aca="true" t="shared" si="4" ref="N16:N40">IF(E16-C16&lt;0,100,E16-C16)</f>
        <v>100</v>
      </c>
      <c r="O16">
        <f>IF(N42=N16,B16,0)</f>
        <v>0</v>
      </c>
      <c r="P16">
        <f>IF(N42=N16,B16,0)</f>
        <v>0</v>
      </c>
    </row>
    <row r="17" spans="1:16" ht="12.75">
      <c r="A17" s="13">
        <f t="shared" si="1"/>
        <v>1936.666666666667</v>
      </c>
      <c r="B17" s="15">
        <f t="shared" si="0"/>
        <v>10.106666666666666</v>
      </c>
      <c r="C17" s="10">
        <f t="shared" si="2"/>
        <v>12.695056410256406</v>
      </c>
      <c r="D17" s="9">
        <f t="shared" si="3"/>
        <v>0.20935119410053443</v>
      </c>
      <c r="E17" s="14">
        <f>'motore elettrico 1 asse'!$B$13*((A17/'motore elettrico 1 asse'!$B$30)/'motore elettrico 1 asse'!$B$19)^3/$B$8</f>
        <v>0.13099985188995952</v>
      </c>
      <c r="N17">
        <f t="shared" si="4"/>
        <v>100</v>
      </c>
      <c r="O17">
        <f>IF(N42=N17,A17,0)</f>
        <v>0</v>
      </c>
      <c r="P17">
        <f>IF(N42=N17,B17,0)</f>
        <v>0</v>
      </c>
    </row>
    <row r="18" spans="1:16" ht="12.75">
      <c r="A18" s="13">
        <f t="shared" si="1"/>
        <v>2213.3333333333335</v>
      </c>
      <c r="B18" s="15">
        <f t="shared" si="0"/>
        <v>9.693333333333333</v>
      </c>
      <c r="C18" s="10">
        <f t="shared" si="2"/>
        <v>13.877825641025634</v>
      </c>
      <c r="D18" s="9">
        <f t="shared" si="3"/>
        <v>0.23861460868338435</v>
      </c>
      <c r="E18" s="14">
        <f>'motore elettrico 1 asse'!$B$13*((A18/'motore elettrico 1 asse'!$B$30)/'motore elettrico 1 asse'!$B$19)^3/$B$8</f>
        <v>0.19554496841883168</v>
      </c>
      <c r="N18" s="5">
        <f t="shared" si="4"/>
        <v>100</v>
      </c>
      <c r="O18">
        <f>IF(N42=N18,A18,0)</f>
        <v>0</v>
      </c>
      <c r="P18">
        <f>IF(N42=N18,B18,0)</f>
        <v>0</v>
      </c>
    </row>
    <row r="19" spans="1:16" ht="12.75">
      <c r="A19" s="13">
        <f t="shared" si="1"/>
        <v>2490</v>
      </c>
      <c r="B19" s="15">
        <f t="shared" si="0"/>
        <v>9.28</v>
      </c>
      <c r="C19" s="10">
        <f t="shared" si="2"/>
        <v>14.902892307692303</v>
      </c>
      <c r="D19" s="9">
        <f t="shared" si="3"/>
        <v>0.26765251989389915</v>
      </c>
      <c r="E19" s="14">
        <f>'motore elettrico 1 asse'!$B$13*((A19/'motore elettrico 1 asse'!$B$30)/'motore elettrico 1 asse'!$B$19)^3/$B$8</f>
        <v>0.2784224257369694</v>
      </c>
      <c r="N19" s="5">
        <f t="shared" si="4"/>
        <v>100</v>
      </c>
      <c r="O19">
        <f>IF(N42=N19,A19,0)</f>
        <v>0</v>
      </c>
      <c r="P19">
        <f>IF(N42=N19,B19,0)</f>
        <v>0</v>
      </c>
    </row>
    <row r="20" spans="1:16" ht="12.75">
      <c r="A20" s="13">
        <f t="shared" si="1"/>
        <v>2766.6666666666665</v>
      </c>
      <c r="B20" s="15">
        <f t="shared" si="0"/>
        <v>8.866666666666667</v>
      </c>
      <c r="C20" s="10">
        <f t="shared" si="2"/>
        <v>15.770256410256408</v>
      </c>
      <c r="D20" s="9">
        <f t="shared" si="3"/>
        <v>0.2964333911702332</v>
      </c>
      <c r="E20" s="14">
        <f>'motore elettrico 1 asse'!$B$13*((A20/'motore elettrico 1 asse'!$B$30)/'motore elettrico 1 asse'!$B$19)^3/$B$8</f>
        <v>0.3819237664430304</v>
      </c>
      <c r="N20" s="5">
        <f t="shared" si="4"/>
        <v>100</v>
      </c>
      <c r="O20">
        <f>IF(N42=N20,A20,0)</f>
        <v>0</v>
      </c>
      <c r="P20">
        <f>IF(N42=N20,B20,0)</f>
        <v>0</v>
      </c>
    </row>
    <row r="21" spans="1:16" ht="12.75">
      <c r="A21" s="13">
        <f t="shared" si="1"/>
        <v>3043.333333333333</v>
      </c>
      <c r="B21" s="15">
        <f t="shared" si="0"/>
        <v>8.453333333333335</v>
      </c>
      <c r="C21" s="10">
        <f t="shared" si="2"/>
        <v>16.47991794871795</v>
      </c>
      <c r="D21" s="9">
        <f t="shared" si="3"/>
        <v>0.3249195179163633</v>
      </c>
      <c r="E21" s="14">
        <f>'motore elettrico 1 asse'!$B$13*((A21/'motore elettrico 1 asse'!$B$30)/'motore elettrico 1 asse'!$B$19)^3/$B$8</f>
        <v>0.5083405331356735</v>
      </c>
      <c r="N21" s="5">
        <f t="shared" si="4"/>
        <v>100</v>
      </c>
      <c r="O21">
        <f>IF(N42=N21,A21,0)</f>
        <v>0</v>
      </c>
      <c r="P21">
        <f>IF(N42=N21,B21,0)</f>
        <v>0</v>
      </c>
    </row>
    <row r="22" spans="1:16" ht="12.75">
      <c r="A22" s="13">
        <f t="shared" si="1"/>
        <v>3319.9999999999995</v>
      </c>
      <c r="B22" s="15">
        <f t="shared" si="0"/>
        <v>8.04</v>
      </c>
      <c r="C22" s="10">
        <f t="shared" si="2"/>
        <v>17.031876923076922</v>
      </c>
      <c r="D22" s="9">
        <f t="shared" si="3"/>
        <v>0.3530654420206659</v>
      </c>
      <c r="E22" s="14">
        <f>'motore elettrico 1 asse'!$B$13*((A22/'motore elettrico 1 asse'!$B$30)/'motore elettrico 1 asse'!$B$19)^3/$B$8</f>
        <v>0.6599642684135565</v>
      </c>
      <c r="N22" s="5">
        <f t="shared" si="4"/>
        <v>100</v>
      </c>
      <c r="O22">
        <f>IF(N42=N22,A22,0)</f>
        <v>0</v>
      </c>
      <c r="P22">
        <f>IF(N42=N22,B22,0)</f>
        <v>0</v>
      </c>
    </row>
    <row r="23" spans="1:16" ht="12.75">
      <c r="A23" s="13">
        <f t="shared" si="1"/>
        <v>3596.666666666666</v>
      </c>
      <c r="B23" s="15">
        <f t="shared" si="0"/>
        <v>7.626666666666668</v>
      </c>
      <c r="C23" s="10">
        <f t="shared" si="2"/>
        <v>17.42613333333333</v>
      </c>
      <c r="D23" s="9">
        <f t="shared" si="3"/>
        <v>0.3808158508158507</v>
      </c>
      <c r="E23" s="14">
        <f>'motore elettrico 1 asse'!$B$13*((A23/'motore elettrico 1 asse'!$B$30)/'motore elettrico 1 asse'!$B$19)^3/$B$8</f>
        <v>0.8390865148753379</v>
      </c>
      <c r="N23" s="5">
        <f t="shared" si="4"/>
        <v>100</v>
      </c>
      <c r="O23">
        <f>IF(N42=N23,A23,0)</f>
        <v>0</v>
      </c>
      <c r="P23">
        <f>IF(N42=N23,B23,0)</f>
        <v>0</v>
      </c>
    </row>
    <row r="24" spans="1:16" ht="12.75">
      <c r="A24" s="13">
        <f t="shared" si="1"/>
        <v>3873.3333333333326</v>
      </c>
      <c r="B24" s="15">
        <f t="shared" si="0"/>
        <v>7.213333333333335</v>
      </c>
      <c r="C24" s="10">
        <f t="shared" si="2"/>
        <v>17.66268717948718</v>
      </c>
      <c r="D24" s="9">
        <f t="shared" si="3"/>
        <v>0.4081027536850087</v>
      </c>
      <c r="E24" s="14">
        <f>'motore elettrico 1 asse'!$B$13*((A24/'motore elettrico 1 asse'!$B$30)/'motore elettrico 1 asse'!$B$19)^3/$B$8</f>
        <v>1.0479988151196753</v>
      </c>
      <c r="N24" s="5">
        <f t="shared" si="4"/>
        <v>100</v>
      </c>
      <c r="O24">
        <f>IF(N42=N24,A24,0)</f>
        <v>0</v>
      </c>
      <c r="P24">
        <f>IF(N42=N24,B24,0)</f>
        <v>0</v>
      </c>
    </row>
    <row r="25" spans="1:16" ht="12.75">
      <c r="A25" s="13">
        <f t="shared" si="1"/>
        <v>4149.999999999999</v>
      </c>
      <c r="B25" s="15">
        <f t="shared" si="0"/>
        <v>6.800000000000002</v>
      </c>
      <c r="C25" s="10">
        <f t="shared" si="2"/>
        <v>17.74153846153846</v>
      </c>
      <c r="D25" s="9">
        <f t="shared" si="3"/>
        <v>0.43484162895927586</v>
      </c>
      <c r="E25" s="14">
        <f>'motore elettrico 1 asse'!$B$13*((A25/'motore elettrico 1 asse'!$B$30)/'motore elettrico 1 asse'!$B$19)^3/$B$8</f>
        <v>1.2889927117452271</v>
      </c>
      <c r="N25" s="5">
        <f t="shared" si="4"/>
        <v>100</v>
      </c>
      <c r="O25">
        <f>IF(N42=N25,A25,0)</f>
        <v>0</v>
      </c>
      <c r="P25">
        <f>IF(N42=N25,B25,0)</f>
        <v>0</v>
      </c>
    </row>
    <row r="26" spans="1:16" ht="12.75">
      <c r="A26" s="13">
        <f t="shared" si="1"/>
        <v>4426.666666666666</v>
      </c>
      <c r="B26" s="15">
        <f t="shared" si="0"/>
        <v>6.386666666666668</v>
      </c>
      <c r="C26" s="10">
        <f t="shared" si="2"/>
        <v>17.66268717948718</v>
      </c>
      <c r="D26" s="57">
        <f t="shared" si="3"/>
        <v>0.46092607462127283</v>
      </c>
      <c r="E26" s="14">
        <f>'motore elettrico 1 asse'!$B$13*((A26/'motore elettrico 1 asse'!$B$30)/'motore elettrico 1 asse'!$B$19)^3/$B$8</f>
        <v>1.5643597473506523</v>
      </c>
      <c r="F26" s="5">
        <f>SUM(N25)</f>
        <v>100</v>
      </c>
      <c r="N26" s="5">
        <f t="shared" si="4"/>
        <v>100</v>
      </c>
      <c r="O26">
        <f>IF(N42=N26,A26,0)</f>
        <v>0</v>
      </c>
      <c r="P26">
        <f>IF(N42=N26,B26,0)</f>
        <v>0</v>
      </c>
    </row>
    <row r="27" spans="1:16" ht="12.75">
      <c r="A27" s="13">
        <f t="shared" si="1"/>
        <v>4703.333333333333</v>
      </c>
      <c r="B27" s="15">
        <f t="shared" si="0"/>
        <v>5.973333333333334</v>
      </c>
      <c r="C27" s="10">
        <f t="shared" si="2"/>
        <v>17.426133333333333</v>
      </c>
      <c r="D27" s="9">
        <f t="shared" si="3"/>
        <v>0.486220238095238</v>
      </c>
      <c r="E27" s="14">
        <f>'motore elettrico 1 asse'!$B$13*((A27/'motore elettrico 1 asse'!$B$30)/'motore elettrico 1 asse'!$B$19)^3/$B$8</f>
        <v>1.8763914645346091</v>
      </c>
      <c r="N27" s="5">
        <f t="shared" si="4"/>
        <v>100</v>
      </c>
      <c r="O27">
        <f>IF(N42=N27,A27,0)</f>
        <v>0</v>
      </c>
      <c r="P27">
        <f>IF(N42=N27,B27,0)</f>
        <v>0</v>
      </c>
    </row>
    <row r="28" spans="1:16" ht="12.75">
      <c r="A28" s="13">
        <f t="shared" si="1"/>
        <v>4980</v>
      </c>
      <c r="B28" s="15">
        <f t="shared" si="0"/>
        <v>5.5600000000000005</v>
      </c>
      <c r="C28" s="10">
        <f t="shared" si="2"/>
        <v>17.03187692307692</v>
      </c>
      <c r="D28" s="9">
        <f t="shared" si="3"/>
        <v>0.5105478693967901</v>
      </c>
      <c r="E28" s="14">
        <f>'motore elettrico 1 asse'!$B$13*((A28/'motore elettrico 1 asse'!$B$30)/'motore elettrico 1 asse'!$B$19)^3/$B$8</f>
        <v>2.2273794058957552</v>
      </c>
      <c r="N28" s="5">
        <f t="shared" si="4"/>
        <v>100</v>
      </c>
      <c r="O28">
        <f>IF(N42=N28,A28,0)</f>
        <v>0</v>
      </c>
      <c r="P28">
        <f>IF(N42=N28,B28,0)</f>
        <v>0</v>
      </c>
    </row>
    <row r="29" spans="1:16" ht="12.75">
      <c r="A29" s="13">
        <f t="shared" si="1"/>
        <v>5256.666666666667</v>
      </c>
      <c r="B29" s="15">
        <f t="shared" si="0"/>
        <v>5.1466666666666665</v>
      </c>
      <c r="C29" s="10">
        <f t="shared" si="2"/>
        <v>16.479917948717947</v>
      </c>
      <c r="D29" s="9">
        <f t="shared" si="3"/>
        <v>0.5336760993755812</v>
      </c>
      <c r="E29" s="14">
        <f>'motore elettrico 1 asse'!$B$13*((A29/'motore elettrico 1 asse'!$B$30)/'motore elettrico 1 asse'!$B$19)^3/$B$8</f>
        <v>2.6196151140327486</v>
      </c>
      <c r="N29" s="5">
        <f t="shared" si="4"/>
        <v>100</v>
      </c>
      <c r="O29">
        <f>IF(N42=N29,A29,0)</f>
        <v>0</v>
      </c>
      <c r="P29">
        <f>IF(N42=N29,B29,0)</f>
        <v>0</v>
      </c>
    </row>
    <row r="30" spans="1:16" ht="12.75">
      <c r="A30" s="13">
        <f t="shared" si="1"/>
        <v>5533.333333333334</v>
      </c>
      <c r="B30" s="15">
        <f t="shared" si="0"/>
        <v>4.7333333333333325</v>
      </c>
      <c r="C30" s="10">
        <f t="shared" si="2"/>
        <v>15.770256410256408</v>
      </c>
      <c r="D30" s="9">
        <f t="shared" si="3"/>
        <v>0.5552907186710004</v>
      </c>
      <c r="E30" s="14">
        <f>'motore elettrico 1 asse'!$B$13*((A30/'motore elettrico 1 asse'!$B$30)/'motore elettrico 1 asse'!$B$19)^3/$B$8</f>
        <v>3.055390131544246</v>
      </c>
      <c r="N30" s="5">
        <f t="shared" si="4"/>
        <v>100</v>
      </c>
      <c r="O30">
        <f>IF(N42=N30,A30,0)</f>
        <v>0</v>
      </c>
      <c r="P30">
        <f>IF(N42=N30,B30,0)</f>
        <v>0</v>
      </c>
    </row>
    <row r="31" spans="1:16" ht="12.75">
      <c r="A31" s="13">
        <f t="shared" si="1"/>
        <v>5810.000000000001</v>
      </c>
      <c r="B31" s="15">
        <f t="shared" si="0"/>
        <v>4.3199999999999985</v>
      </c>
      <c r="C31" s="10">
        <f t="shared" si="2"/>
        <v>14.902892307692303</v>
      </c>
      <c r="D31" s="9">
        <f t="shared" si="3"/>
        <v>0.574957264957265</v>
      </c>
      <c r="E31" s="14">
        <f>'motore elettrico 1 asse'!$B$13*((A31/'motore elettrico 1 asse'!$B$30)/'motore elettrico 1 asse'!$B$19)^3/$B$8</f>
        <v>3.5369960010289088</v>
      </c>
      <c r="N31" s="5">
        <f t="shared" si="4"/>
        <v>100</v>
      </c>
      <c r="O31">
        <f>IF(N42=N31,A31,0)</f>
        <v>0</v>
      </c>
      <c r="P31">
        <f>IF(N42=N31,B31,0)</f>
        <v>0</v>
      </c>
    </row>
    <row r="32" spans="1:16" ht="12.75">
      <c r="A32" s="13">
        <f t="shared" si="1"/>
        <v>6086.666666666668</v>
      </c>
      <c r="B32" s="15">
        <f t="shared" si="0"/>
        <v>3.906666666666665</v>
      </c>
      <c r="C32" s="10">
        <f t="shared" si="2"/>
        <v>13.877825641025638</v>
      </c>
      <c r="D32" s="9">
        <f t="shared" si="3"/>
        <v>0.5920574078935854</v>
      </c>
      <c r="E32" s="14">
        <f>'motore elettrico 1 asse'!$B$13*((A32/'motore elettrico 1 asse'!$B$30)/'motore elettrico 1 asse'!$B$19)^3/$B$8</f>
        <v>4.066724265085392</v>
      </c>
      <c r="N32" s="5">
        <f t="shared" si="4"/>
        <v>100</v>
      </c>
      <c r="O32">
        <f>IF(N42=N32,A32,0)</f>
        <v>0</v>
      </c>
      <c r="P32">
        <f>IF(N42=N32,B32,0)</f>
        <v>0</v>
      </c>
    </row>
    <row r="33" spans="1:16" ht="12.75">
      <c r="A33" s="13">
        <f t="shared" si="1"/>
        <v>6363.333333333335</v>
      </c>
      <c r="B33" s="15">
        <f t="shared" si="0"/>
        <v>3.493333333333331</v>
      </c>
      <c r="C33" s="10">
        <f t="shared" si="2"/>
        <v>12.695056410256402</v>
      </c>
      <c r="D33" s="9">
        <f t="shared" si="3"/>
        <v>0.6056801722450578</v>
      </c>
      <c r="E33" s="14">
        <f>'motore elettrico 1 asse'!$B$13*((A33/'motore elettrico 1 asse'!$B$30)/'motore elettrico 1 asse'!$B$19)^3/$B$8</f>
        <v>4.646866466312358</v>
      </c>
      <c r="N33" s="5">
        <f t="shared" si="4"/>
        <v>100</v>
      </c>
      <c r="O33">
        <f>IF(N42=N33,A33,0)</f>
        <v>0</v>
      </c>
      <c r="P33">
        <f>IF(N42=N33,B33,0)</f>
        <v>0</v>
      </c>
    </row>
    <row r="34" spans="1:16" ht="12.75">
      <c r="A34" s="13">
        <f t="shared" si="1"/>
        <v>6640.000000000002</v>
      </c>
      <c r="B34" s="15">
        <f t="shared" si="0"/>
        <v>3.0799999999999974</v>
      </c>
      <c r="C34" s="10">
        <f t="shared" si="2"/>
        <v>11.354584615384605</v>
      </c>
      <c r="D34" s="9">
        <f t="shared" si="3"/>
        <v>0.6144255744255744</v>
      </c>
      <c r="E34" s="14">
        <f>'motore elettrico 1 asse'!$B$13*((A34/'motore elettrico 1 asse'!$B$30)/'motore elettrico 1 asse'!$B$19)^3/$B$8</f>
        <v>5.279714147308461</v>
      </c>
      <c r="N34" s="5">
        <f t="shared" si="4"/>
        <v>100</v>
      </c>
      <c r="O34">
        <f>IF(N42=N34,A34,0)</f>
        <v>0</v>
      </c>
      <c r="P34">
        <f>IF(N42=N34,B34,0)</f>
        <v>0</v>
      </c>
    </row>
    <row r="35" spans="1:16" ht="12.75">
      <c r="A35" s="13">
        <f t="shared" si="1"/>
        <v>6916.666666666669</v>
      </c>
      <c r="B35" s="15">
        <f t="shared" si="0"/>
        <v>2.6666666666666634</v>
      </c>
      <c r="C35" s="10">
        <f t="shared" si="2"/>
        <v>9.856410256410244</v>
      </c>
      <c r="D35" s="9">
        <f t="shared" si="3"/>
        <v>0.6160256410256411</v>
      </c>
      <c r="E35" s="14">
        <f>'motore elettrico 1 asse'!$B$13*((A35/'motore elettrico 1 asse'!$B$30)/'motore elettrico 1 asse'!$B$19)^3/$B$8</f>
        <v>5.967558850672358</v>
      </c>
      <c r="N35" s="5">
        <f t="shared" si="4"/>
        <v>100</v>
      </c>
      <c r="O35">
        <f>IF(N42=N35,A35,0)</f>
        <v>0</v>
      </c>
      <c r="P35">
        <f>IF(N42=N35,B35,0)</f>
        <v>0</v>
      </c>
    </row>
    <row r="36" spans="1:16" ht="12.75">
      <c r="A36" s="13">
        <f t="shared" si="1"/>
        <v>7193.333333333336</v>
      </c>
      <c r="B36" s="15">
        <f t="shared" si="0"/>
        <v>2.25333333333333</v>
      </c>
      <c r="C36" s="10">
        <f t="shared" si="2"/>
        <v>8.200533333333317</v>
      </c>
      <c r="D36" s="9">
        <f t="shared" si="3"/>
        <v>0.6065483234714001</v>
      </c>
      <c r="E36" s="14">
        <f>'motore elettrico 1 asse'!$B$13*((A36/'motore elettrico 1 asse'!$B$30)/'motore elettrico 1 asse'!$B$19)^3/$B$8</f>
        <v>6.712692119002714</v>
      </c>
      <c r="N36" s="5">
        <f t="shared" si="4"/>
        <v>100</v>
      </c>
      <c r="O36">
        <f>IF(N42=N36,A36,0)</f>
        <v>0</v>
      </c>
      <c r="P36">
        <f>IF(N42=N36,B36,0)</f>
        <v>0</v>
      </c>
    </row>
    <row r="37" spans="1:16" ht="12.75">
      <c r="A37" s="13">
        <f t="shared" si="1"/>
        <v>7470.000000000003</v>
      </c>
      <c r="B37" s="15">
        <f t="shared" si="0"/>
        <v>1.8399999999999959</v>
      </c>
      <c r="C37" s="10">
        <f t="shared" si="2"/>
        <v>6.386953846153826</v>
      </c>
      <c r="D37" s="9">
        <f t="shared" si="3"/>
        <v>0.578528428093645</v>
      </c>
      <c r="E37" s="14">
        <f>'motore elettrico 1 asse'!$B$13*((A37/'motore elettrico 1 asse'!$B$30)/'motore elettrico 1 asse'!$B$19)^3/$B$8</f>
        <v>7.517405494898179</v>
      </c>
      <c r="N37" s="5">
        <f t="shared" si="4"/>
        <v>1.1304516487443532</v>
      </c>
      <c r="O37">
        <f>IF(N42=N37,A37,0)</f>
        <v>7470.000000000003</v>
      </c>
      <c r="P37">
        <f>IF(N42=N37,B37,0)</f>
        <v>1.8399999999999959</v>
      </c>
    </row>
    <row r="38" spans="1:16" ht="12.75">
      <c r="A38" s="13">
        <f t="shared" si="1"/>
        <v>7746.66666666667</v>
      </c>
      <c r="B38" s="15">
        <f t="shared" si="0"/>
        <v>1.4266666666666623</v>
      </c>
      <c r="C38" s="10">
        <f t="shared" si="2"/>
        <v>4.415671794871773</v>
      </c>
      <c r="D38" s="9">
        <f t="shared" si="3"/>
        <v>0.5158495087467041</v>
      </c>
      <c r="E38" s="14">
        <f>'motore elettrico 1 asse'!$B$13*((A38/'motore elettrico 1 asse'!$B$30)/'motore elettrico 1 asse'!$B$19)^3/$B$8</f>
        <v>8.383990520957417</v>
      </c>
      <c r="N38" s="5">
        <f t="shared" si="4"/>
        <v>3.968318726085643</v>
      </c>
      <c r="O38">
        <f>IF(N42=N38,A38,0)</f>
        <v>0</v>
      </c>
      <c r="P38">
        <f>IF(N42=N38,B38,0)</f>
        <v>0</v>
      </c>
    </row>
    <row r="39" spans="1:16" ht="12.75">
      <c r="A39" s="13">
        <f t="shared" si="1"/>
        <v>8023.333333333337</v>
      </c>
      <c r="B39" s="15">
        <f t="shared" si="0"/>
        <v>1.0133333333333283</v>
      </c>
      <c r="C39" s="10">
        <f t="shared" si="2"/>
        <v>2.286687179487153</v>
      </c>
      <c r="D39" s="9">
        <f t="shared" si="3"/>
        <v>0.376099865047231</v>
      </c>
      <c r="E39" s="14">
        <f>'motore elettrico 1 asse'!$B$13*((A39/'motore elettrico 1 asse'!$B$30)/'motore elettrico 1 asse'!$B$19)^3/$B$8</f>
        <v>9.314738739779086</v>
      </c>
      <c r="N39" s="5">
        <f t="shared" si="4"/>
        <v>7.028051560291933</v>
      </c>
      <c r="O39">
        <f>IF(N42=N39,A39,0)</f>
        <v>0</v>
      </c>
      <c r="P39">
        <f>IF(N42=N39,B39,0)</f>
        <v>0</v>
      </c>
    </row>
    <row r="40" spans="1:16" ht="12.75">
      <c r="A40" s="13">
        <f t="shared" si="1"/>
        <v>8300.000000000004</v>
      </c>
      <c r="B40" s="15">
        <f t="shared" si="0"/>
        <v>0.5999999999999945</v>
      </c>
      <c r="C40" s="10">
        <f t="shared" si="2"/>
        <v>-3.064215547965432E-14</v>
      </c>
      <c r="D40" s="9">
        <f t="shared" si="3"/>
        <v>-8.511709855459611E-15</v>
      </c>
      <c r="E40" s="14">
        <f>'motore elettrico 1 asse'!$B$13*((A40/'motore elettrico 1 asse'!$B$30)/'motore elettrico 1 asse'!$B$19)^3/$B$8</f>
        <v>10.311941693961844</v>
      </c>
      <c r="N40" s="5">
        <f t="shared" si="4"/>
        <v>10.311941693961874</v>
      </c>
      <c r="O40">
        <f>IF(N42=N40,A40,0)</f>
        <v>0</v>
      </c>
      <c r="P40">
        <f>IF(N42=N40,B40,0)</f>
        <v>0</v>
      </c>
    </row>
    <row r="42" spans="14:16" ht="12.75">
      <c r="N42" s="5">
        <f>MIN(N16:N41)</f>
        <v>1.1304516487443532</v>
      </c>
      <c r="O42">
        <f>MAX(O16:O40)</f>
        <v>7470.000000000003</v>
      </c>
      <c r="P42">
        <f>MAX(P16:P40)</f>
        <v>1.8399999999999959</v>
      </c>
    </row>
  </sheetData>
  <sheetProtection password="AEF8" sheet="1"/>
  <conditionalFormatting sqref="C10:C40 D9:D40">
    <cfRule type="expression" priority="1" dxfId="0" stopIfTrue="1">
      <formula>(E9=$G$56)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BOLDROCCHI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ING.Saccenti</dc:creator>
  <cp:keywords/>
  <dc:description/>
  <cp:lastModifiedBy>Administrator</cp:lastModifiedBy>
  <cp:lastPrinted>2010-10-08T09:21:29Z</cp:lastPrinted>
  <dcterms:created xsi:type="dcterms:W3CDTF">1999-05-29T14:44:46Z</dcterms:created>
  <dcterms:modified xsi:type="dcterms:W3CDTF">2010-10-11T09:55:08Z</dcterms:modified>
  <cp:category/>
  <cp:version/>
  <cp:contentType/>
  <cp:contentStatus/>
</cp:coreProperties>
</file>